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asser\Desktop\Sharepoint EU Uploads\"/>
    </mc:Choice>
  </mc:AlternateContent>
  <bookViews>
    <workbookView xWindow="0" yWindow="192" windowWidth="1944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J33" i="1"/>
  <c r="G27" i="1" l="1"/>
  <c r="I31" i="1"/>
  <c r="I30" i="1"/>
  <c r="I29" i="1"/>
  <c r="I27" i="1"/>
  <c r="I9" i="1"/>
  <c r="G26" i="1"/>
  <c r="I26" i="1" s="1"/>
  <c r="I24" i="1"/>
  <c r="I23" i="1"/>
  <c r="I22" i="1"/>
  <c r="I20" i="1"/>
  <c r="I19" i="1"/>
  <c r="I18" i="1"/>
  <c r="I17" i="1"/>
  <c r="I16" i="1"/>
  <c r="I15" i="1"/>
  <c r="I13" i="1"/>
  <c r="I12" i="1"/>
  <c r="G11" i="1" l="1"/>
  <c r="I11" i="1" s="1"/>
  <c r="G8" i="1"/>
  <c r="I8" i="1" l="1"/>
  <c r="I6" i="1"/>
  <c r="G5" i="1"/>
  <c r="I5" i="1" s="1"/>
  <c r="I14" i="1"/>
  <c r="I10" i="1" l="1"/>
  <c r="I32" i="1"/>
  <c r="I21" i="1"/>
  <c r="I7" i="1"/>
  <c r="I25" i="1"/>
  <c r="I28" i="1" l="1"/>
  <c r="I33" i="1" s="1"/>
  <c r="N33" i="1" s="1"/>
  <c r="N34" i="1" l="1"/>
  <c r="N36" i="1" s="1"/>
  <c r="N38" i="1" s="1"/>
  <c r="I34" i="1"/>
  <c r="D43" i="1"/>
  <c r="E43" i="1"/>
  <c r="K34" i="1" l="1"/>
  <c r="J34" i="1"/>
  <c r="J35" i="1" s="1"/>
  <c r="I35" i="1"/>
  <c r="I36" i="1" s="1"/>
  <c r="I37" i="1" s="1"/>
  <c r="K40" i="1" l="1"/>
  <c r="M29" i="1"/>
  <c r="D37" i="1"/>
  <c r="E44" i="1"/>
  <c r="K35" i="1"/>
  <c r="J36" i="1"/>
  <c r="J37" i="1" s="1"/>
  <c r="F50" i="1" l="1"/>
  <c r="F51" i="1" s="1"/>
  <c r="M37" i="1"/>
  <c r="G53" i="1"/>
  <c r="F52" i="1"/>
  <c r="K36" i="1"/>
  <c r="K37" i="1" s="1"/>
  <c r="E41" i="1" l="1"/>
  <c r="G50" i="1"/>
  <c r="G51" i="1" s="1"/>
  <c r="G52" i="1" l="1"/>
  <c r="G54" i="1" s="1"/>
  <c r="I51" i="1"/>
  <c r="I50" i="1"/>
  <c r="J50" i="1" s="1"/>
  <c r="H54" i="1" l="1"/>
  <c r="I54" i="1" s="1"/>
  <c r="J51" i="1"/>
</calcChain>
</file>

<file path=xl/sharedStrings.xml><?xml version="1.0" encoding="utf-8"?>
<sst xmlns="http://schemas.openxmlformats.org/spreadsheetml/2006/main" count="117" uniqueCount="96">
  <si>
    <t>No.</t>
  </si>
  <si>
    <t>Budget Item</t>
  </si>
  <si>
    <t xml:space="preserve">Emergency employment for basic local service delivery </t>
  </si>
  <si>
    <t>Emergency support to disrupted livelihoods</t>
  </si>
  <si>
    <t>Emergency support to women headed households</t>
  </si>
  <si>
    <t>Emergency support and rehabilitation of persons with disability</t>
  </si>
  <si>
    <t xml:space="preserve">Support to social cohesion and community resilience </t>
  </si>
  <si>
    <t xml:space="preserve">Technical assistance and project management </t>
  </si>
  <si>
    <t>Total Direct Costs of the Action</t>
  </si>
  <si>
    <t>Total Indirect Cost of the Action (F&amp;A)</t>
  </si>
  <si>
    <t>Total Eligible Costs of the Action</t>
  </si>
  <si>
    <t>Tools and equipment for employment schemes</t>
  </si>
  <si>
    <t>2 prosthetic workshops</t>
  </si>
  <si>
    <t>Rapid employment schemes costs (960 jobs created for the duration of 4 months)</t>
  </si>
  <si>
    <t>Vocational training for 800 persons</t>
  </si>
  <si>
    <t>Start-up kits for 700 women</t>
  </si>
  <si>
    <t>Training for 900 women</t>
  </si>
  <si>
    <t>Rehabilitation services for 500 patients</t>
  </si>
  <si>
    <t xml:space="preserve">2 Psychosocial support centers </t>
  </si>
  <si>
    <t xml:space="preserve">Start-up toolkits for 150 persons </t>
  </si>
  <si>
    <t>Vocational training for 300 persons</t>
  </si>
  <si>
    <t>Technical staff (7 persons)</t>
  </si>
  <si>
    <t xml:space="preserve">Administrative/ support staff (4 persons) </t>
  </si>
  <si>
    <t>Logistics and support</t>
  </si>
  <si>
    <t xml:space="preserve">Visibility and publications </t>
  </si>
  <si>
    <t xml:space="preserve">Consumables, office equipment, security mitigation costs </t>
  </si>
  <si>
    <t>Third party monitoring</t>
  </si>
  <si>
    <t>Budget Notes</t>
  </si>
  <si>
    <t xml:space="preserve">This budget line refers to the establishment of emergency employment scheme under Component 1. The budget is estimated as following: (1) An emergency employment scheme generating 960 jobs for the duration of 4 months- the working month being equivalent to 24 days; and (2) cost of tools and equipment that will be procured for labourers participating in the emergency employment schemes.     </t>
  </si>
  <si>
    <t>This budget line refers to Component 2. In order to restore disrupted livelihoods in affected communities, vocational trainings will be availed to 800 persons and start-up kits and asset replacement will be provided to 1,000 beneficiaries.</t>
  </si>
  <si>
    <t xml:space="preserve">This budget line refers to Component 3. Cash for work opportunities will be created for 700 women who will also benefit from the distribution of 700 start-up kits. In parallel, vocational training will be delivered to 900 women participants. </t>
  </si>
  <si>
    <t xml:space="preserve">This budget line refers to Component 4 on supporting people with disabilities (PWD). PWD will be provided with (1) disability aids (such as Wheelchairs, prosthetics, water and medical mattresses, etc.); (2) 500 rehabilitation sessions for at least 60 patients; (3) 300 vocational training opportunities; and (4) 150 start-up toolkits. 2 psychosocial support centres and 2 prosthetic workshops will be established and supported to provide services and more employment opportunities for PWD.   </t>
  </si>
  <si>
    <t xml:space="preserve">This budget line refers to Component 5 on social cohesion and community resilience. Trainings will be provided to 70 NGOs/ CBOs on livelihoods and early recovery concepts including social cohesion and community resilience from planning phases to implementation, monitoring and evaluation. Community-based activities will be implemented in 4 governorates to bring people together on non-threatening issues such as theatre, music, drama, food for peace. </t>
  </si>
  <si>
    <t xml:space="preserve">This budget line includes costs relating to office equipment, consumables and communication, visibility, security mitigation measures in field locations and third party monitoring </t>
  </si>
  <si>
    <t>NGO capacity development - 70 NGOs</t>
  </si>
  <si>
    <t>168 Euros per person/ month</t>
  </si>
  <si>
    <t>269 Euros equipment cost per job (including tools, protective clothes, waste bins, light equipment, etc.)</t>
  </si>
  <si>
    <t>500 Euros training cost per person on average</t>
  </si>
  <si>
    <t>Cash for work opportunities for 700 women for the duration of 4 months</t>
  </si>
  <si>
    <t>Start-up kits and assets for 1,000 beneficiaries</t>
  </si>
  <si>
    <t>500 Euros per kit on average depending on the craft and tools and equipment needed</t>
  </si>
  <si>
    <t xml:space="preserve">250 Euros per person on average </t>
  </si>
  <si>
    <t>75,000 Euros per workshop</t>
  </si>
  <si>
    <t xml:space="preserve">60 Euros per patient </t>
  </si>
  <si>
    <t>250 Euros training cost per woman. It is cheaper than other tools given the type of crafts women often choose (sewing, food processing, hairdressing, etc.)</t>
  </si>
  <si>
    <t>Disability aids (Wheelchairs, prosthetics, etc.) for 1,700 persons</t>
  </si>
  <si>
    <t>237 Euros on average per person depending on the type of disability aid needed, prosthetics and hearing aids being the most expensive.</t>
  </si>
  <si>
    <t>300 Euros per kit including tools, equipment and basic supplies to start an income generating activity depending on craft and/ or vocational training received</t>
  </si>
  <si>
    <t>250 training cost per person</t>
  </si>
  <si>
    <t>Refer to budget notes</t>
  </si>
  <si>
    <t>25 NGO grants</t>
  </si>
  <si>
    <t>10,000 Euros per grant</t>
  </si>
  <si>
    <t>Community based activities (theatre, music, drama, food for peace) in 4 Governorates</t>
  </si>
  <si>
    <t>75,000 Euros per Governorate</t>
  </si>
  <si>
    <t>For the proposed 2-year duration, 4,688 Euros average monthly salary for 7 persons for technical staff</t>
  </si>
  <si>
    <t>25,000 Euros per centre, including operating costs for 12 months.</t>
  </si>
  <si>
    <t>For the proposed 2-year duration, 1,211 Euros average monthly salary for 4 persons admin staff</t>
  </si>
  <si>
    <t>For the proposed 2-year duration on average per month for field offices and Damascus-based unit. Saving is factored for project teams co-located in UN hubs (cost-sharing with other agencies) and UNDP Damascus Office</t>
  </si>
  <si>
    <r>
      <t>This budget line refers to national and international, technical (7 in total) and administrative/ support (4 in total) staff that will further elaborate on and roll-out activities under the 5 components.</t>
    </r>
    <r>
      <rPr>
        <sz val="11"/>
        <color theme="1"/>
        <rFont val="Calibri"/>
        <family val="2"/>
        <scheme val="minor"/>
      </rPr>
      <t xml:space="preserve"> Support staff will follow on procurement, finance, administrative and logistics.</t>
    </r>
  </si>
  <si>
    <t>SUB-TOTAL</t>
  </si>
  <si>
    <t>Annex III - Budget of the Action ENPI/2013/335-626</t>
  </si>
  <si>
    <t>Total</t>
  </si>
  <si>
    <t>Unit</t>
  </si>
  <si>
    <t>No of units</t>
  </si>
  <si>
    <t>Unit rate</t>
  </si>
  <si>
    <t>Per person per month</t>
  </si>
  <si>
    <t>Per person</t>
  </si>
  <si>
    <t xml:space="preserve">Per person </t>
  </si>
  <si>
    <t>Per workshop</t>
  </si>
  <si>
    <t>Per center</t>
  </si>
  <si>
    <t>Per NGO</t>
  </si>
  <si>
    <t>Per Governate</t>
  </si>
  <si>
    <t>Per month</t>
  </si>
  <si>
    <t>Per action</t>
  </si>
  <si>
    <t>Per evaluation</t>
  </si>
  <si>
    <t>Total year 1</t>
  </si>
  <si>
    <t>Total year 2</t>
  </si>
  <si>
    <t>0-12</t>
  </si>
  <si>
    <t>13-24</t>
  </si>
  <si>
    <t>1st year</t>
  </si>
  <si>
    <t xml:space="preserve">2nd </t>
  </si>
  <si>
    <t>95% of EU contribution</t>
  </si>
  <si>
    <t>5% of EU contribution</t>
  </si>
  <si>
    <t>Total payment</t>
  </si>
  <si>
    <t>EU Indirect costs</t>
  </si>
  <si>
    <t>Other indirtect costs</t>
  </si>
  <si>
    <t>Balance</t>
  </si>
  <si>
    <t>CHECK</t>
  </si>
  <si>
    <t>EU % of dirrect costs</t>
  </si>
  <si>
    <t>EU indirect costs</t>
  </si>
  <si>
    <t>Amount avilable</t>
  </si>
  <si>
    <t>EU contribution of direct costs</t>
  </si>
  <si>
    <t>EU total contribution</t>
  </si>
  <si>
    <t>Total amount</t>
  </si>
  <si>
    <t>EU proportion (89.450 %)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</si>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</sst>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00"/>
    <numFmt numFmtId="167" formatCode="_(* #,##0_);_(* \(#,##0\);_(* &quot;-&quot;??_);_(@_)"/>
    <numFmt numFmtId="168" formatCode="&quot;€&quot;#,##0.00"/>
    <numFmt numFmtId="169" formatCode="&quot;€&quot;#,##0.000"/>
    <numFmt numFmtId="170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4" fontId="0" fillId="0" borderId="3" xfId="0" applyNumberFormat="1" applyFont="1" applyBorder="1" applyAlignment="1">
      <alignment vertical="center" wrapText="1"/>
    </xf>
    <xf numFmtId="164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65" fontId="11" fillId="5" borderId="8" xfId="1" applyNumberFormat="1" applyFont="1" applyFill="1" applyBorder="1" applyAlignment="1">
      <alignment horizontal="center" wrapText="1"/>
    </xf>
    <xf numFmtId="10" fontId="4" fillId="5" borderId="8" xfId="22" applyNumberFormat="1" applyFont="1" applyFill="1" applyBorder="1" applyAlignment="1">
      <alignment horizontal="right" vertical="center" wrapText="1"/>
    </xf>
    <xf numFmtId="10" fontId="13" fillId="5" borderId="8" xfId="22" applyNumberFormat="1" applyFont="1" applyFill="1" applyBorder="1" applyAlignment="1">
      <alignment horizontal="left" vertical="center" wrapText="1"/>
    </xf>
    <xf numFmtId="10" fontId="13" fillId="5" borderId="8" xfId="22" applyNumberFormat="1" applyFont="1" applyFill="1" applyBorder="1" applyAlignment="1">
      <alignment horizontal="right" vertical="center" wrapText="1"/>
    </xf>
    <xf numFmtId="165" fontId="11" fillId="5" borderId="10" xfId="1" applyNumberFormat="1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vertical="center" wrapText="1"/>
    </xf>
    <xf numFmtId="165" fontId="11" fillId="7" borderId="11" xfId="1" applyNumberFormat="1" applyFont="1" applyFill="1" applyBorder="1" applyAlignment="1">
      <alignment horizontal="center" wrapText="1"/>
    </xf>
    <xf numFmtId="0" fontId="11" fillId="7" borderId="11" xfId="0" applyFont="1" applyFill="1" applyBorder="1" applyAlignment="1">
      <alignment vertical="center" wrapText="1"/>
    </xf>
    <xf numFmtId="169" fontId="0" fillId="0" borderId="0" xfId="0" applyNumberFormat="1"/>
    <xf numFmtId="169" fontId="0" fillId="0" borderId="0" xfId="0" applyNumberFormat="1" applyBorder="1"/>
    <xf numFmtId="169" fontId="0" fillId="0" borderId="0" xfId="0" applyNumberFormat="1" applyAlignment="1">
      <alignment wrapText="1"/>
    </xf>
    <xf numFmtId="169" fontId="2" fillId="0" borderId="0" xfId="0" applyNumberFormat="1" applyFont="1"/>
    <xf numFmtId="165" fontId="11" fillId="0" borderId="8" xfId="1" applyNumberFormat="1" applyFont="1" applyBorder="1" applyAlignment="1">
      <alignment horizontal="center" wrapText="1"/>
    </xf>
    <xf numFmtId="0" fontId="11" fillId="0" borderId="8" xfId="0" applyFont="1" applyBorder="1" applyAlignment="1">
      <alignment vertical="center" wrapText="1"/>
    </xf>
    <xf numFmtId="167" fontId="11" fillId="0" borderId="8" xfId="1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165" fontId="0" fillId="0" borderId="10" xfId="1" applyNumberFormat="1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horizontal="right" vertical="center" wrapText="1"/>
    </xf>
    <xf numFmtId="0" fontId="2" fillId="7" borderId="11" xfId="0" applyFont="1" applyFill="1" applyBorder="1" applyAlignment="1">
      <alignment vertical="center" wrapText="1"/>
    </xf>
    <xf numFmtId="3" fontId="5" fillId="5" borderId="14" xfId="0" applyNumberFormat="1" applyFont="1" applyFill="1" applyBorder="1" applyAlignment="1">
      <alignment horizontal="right" vertical="center" wrapText="1"/>
    </xf>
    <xf numFmtId="165" fontId="11" fillId="5" borderId="14" xfId="1" applyNumberFormat="1" applyFont="1" applyFill="1" applyBorder="1" applyAlignment="1">
      <alignment horizontal="center" wrapText="1"/>
    </xf>
    <xf numFmtId="0" fontId="12" fillId="5" borderId="14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165" fontId="11" fillId="0" borderId="10" xfId="1" applyNumberFormat="1" applyFont="1" applyBorder="1" applyAlignment="1">
      <alignment horizont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7" borderId="11" xfId="0" applyFont="1" applyFill="1" applyBorder="1" applyAlignment="1">
      <alignment horizontal="right" vertical="center" wrapText="1"/>
    </xf>
    <xf numFmtId="0" fontId="12" fillId="7" borderId="11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horizontal="right" vertical="center" wrapText="1"/>
    </xf>
    <xf numFmtId="167" fontId="11" fillId="0" borderId="10" xfId="1" applyNumberFormat="1" applyFont="1" applyBorder="1" applyAlignment="1">
      <alignment horizontal="right" vertical="center" wrapText="1"/>
    </xf>
    <xf numFmtId="165" fontId="0" fillId="0" borderId="11" xfId="1" applyNumberFormat="1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167" fontId="11" fillId="7" borderId="11" xfId="0" applyNumberFormat="1" applyFont="1" applyFill="1" applyBorder="1" applyAlignment="1">
      <alignment horizontal="right" vertical="center" wrapText="1"/>
    </xf>
    <xf numFmtId="169" fontId="2" fillId="3" borderId="19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169" fontId="11" fillId="0" borderId="19" xfId="1" applyNumberFormat="1" applyFont="1" applyBorder="1" applyAlignment="1">
      <alignment vertical="center" wrapText="1"/>
    </xf>
    <xf numFmtId="169" fontId="11" fillId="0" borderId="1" xfId="1" applyNumberFormat="1" applyFont="1" applyBorder="1" applyAlignment="1">
      <alignment vertical="center" wrapText="1"/>
    </xf>
    <xf numFmtId="169" fontId="12" fillId="7" borderId="2" xfId="1" applyNumberFormat="1" applyFont="1" applyFill="1" applyBorder="1" applyAlignment="1">
      <alignment vertical="center" wrapText="1"/>
    </xf>
    <xf numFmtId="169" fontId="11" fillId="0" borderId="19" xfId="0" applyNumberFormat="1" applyFont="1" applyBorder="1" applyAlignment="1">
      <alignment vertical="center" wrapText="1"/>
    </xf>
    <xf numFmtId="169" fontId="11" fillId="0" borderId="1" xfId="0" applyNumberFormat="1" applyFont="1" applyBorder="1" applyAlignment="1">
      <alignment vertical="center" wrapText="1"/>
    </xf>
    <xf numFmtId="169" fontId="12" fillId="5" borderId="12" xfId="0" applyNumberFormat="1" applyFont="1" applyFill="1" applyBorder="1" applyAlignment="1">
      <alignment vertical="center" wrapText="1"/>
    </xf>
    <xf numFmtId="169" fontId="11" fillId="5" borderId="19" xfId="0" applyNumberFormat="1" applyFont="1" applyFill="1" applyBorder="1" applyAlignment="1">
      <alignment vertical="center" wrapText="1"/>
    </xf>
    <xf numFmtId="169" fontId="12" fillId="5" borderId="1" xfId="0" applyNumberFormat="1" applyFont="1" applyFill="1" applyBorder="1" applyAlignment="1">
      <alignment vertical="center" wrapText="1"/>
    </xf>
    <xf numFmtId="169" fontId="14" fillId="6" borderId="12" xfId="0" applyNumberFormat="1" applyFont="1" applyFill="1" applyBorder="1" applyAlignment="1">
      <alignment horizontal="right" vertical="center" wrapText="1"/>
    </xf>
    <xf numFmtId="0" fontId="0" fillId="5" borderId="21" xfId="0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9" xfId="0" applyFill="1" applyBorder="1" applyAlignment="1">
      <alignment wrapText="1"/>
    </xf>
    <xf numFmtId="169" fontId="2" fillId="3" borderId="23" xfId="0" applyNumberFormat="1" applyFont="1" applyFill="1" applyBorder="1" applyAlignment="1">
      <alignment horizontal="center" vertical="center" wrapText="1"/>
    </xf>
    <xf numFmtId="169" fontId="2" fillId="3" borderId="12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68" fontId="11" fillId="0" borderId="24" xfId="0" applyNumberFormat="1" applyFont="1" applyBorder="1" applyAlignment="1">
      <alignment vertical="center" wrapText="1"/>
    </xf>
    <xf numFmtId="168" fontId="11" fillId="0" borderId="26" xfId="0" applyNumberFormat="1" applyFont="1" applyBorder="1" applyAlignment="1">
      <alignment vertical="center" wrapText="1"/>
    </xf>
    <xf numFmtId="168" fontId="11" fillId="7" borderId="25" xfId="0" applyNumberFormat="1" applyFont="1" applyFill="1" applyBorder="1" applyAlignment="1">
      <alignment vertical="center" wrapText="1"/>
    </xf>
    <xf numFmtId="168" fontId="11" fillId="0" borderId="24" xfId="1" applyNumberFormat="1" applyFont="1" applyBorder="1" applyAlignment="1">
      <alignment vertical="center" wrapText="1"/>
    </xf>
    <xf numFmtId="168" fontId="11" fillId="0" borderId="26" xfId="1" applyNumberFormat="1" applyFont="1" applyBorder="1" applyAlignment="1">
      <alignment vertical="center" wrapText="1"/>
    </xf>
    <xf numFmtId="168" fontId="12" fillId="7" borderId="25" xfId="0" applyNumberFormat="1" applyFont="1" applyFill="1" applyBorder="1" applyAlignment="1">
      <alignment vertical="center" wrapText="1"/>
    </xf>
    <xf numFmtId="168" fontId="11" fillId="5" borderId="27" xfId="0" applyNumberFormat="1" applyFont="1" applyFill="1" applyBorder="1" applyAlignment="1">
      <alignment vertical="center" wrapText="1"/>
    </xf>
    <xf numFmtId="0" fontId="11" fillId="5" borderId="24" xfId="0" applyFont="1" applyFill="1" applyBorder="1" applyAlignment="1">
      <alignment vertical="center" wrapText="1"/>
    </xf>
    <xf numFmtId="10" fontId="13" fillId="5" borderId="26" xfId="22" applyNumberFormat="1" applyFont="1" applyFill="1" applyBorder="1" applyAlignment="1">
      <alignment horizontal="right" vertical="center" wrapText="1"/>
    </xf>
    <xf numFmtId="4" fontId="14" fillId="6" borderId="27" xfId="0" applyNumberFormat="1" applyFont="1" applyFill="1" applyBorder="1" applyAlignment="1">
      <alignment vertical="center" wrapText="1"/>
    </xf>
    <xf numFmtId="4" fontId="14" fillId="6" borderId="7" xfId="0" applyNumberFormat="1" applyFont="1" applyFill="1" applyBorder="1" applyAlignment="1">
      <alignment vertical="center" wrapText="1"/>
    </xf>
    <xf numFmtId="0" fontId="0" fillId="0" borderId="8" xfId="0" applyBorder="1"/>
    <xf numFmtId="169" fontId="0" fillId="0" borderId="8" xfId="0" applyNumberFormat="1" applyBorder="1"/>
    <xf numFmtId="169" fontId="0" fillId="0" borderId="8" xfId="0" applyNumberFormat="1" applyBorder="1" applyAlignment="1">
      <alignment horizontal="left"/>
    </xf>
    <xf numFmtId="166" fontId="0" fillId="0" borderId="8" xfId="0" applyNumberFormat="1" applyBorder="1"/>
    <xf numFmtId="43" fontId="0" fillId="0" borderId="8" xfId="1" applyFont="1" applyBorder="1"/>
    <xf numFmtId="164" fontId="0" fillId="0" borderId="8" xfId="0" applyNumberFormat="1" applyBorder="1"/>
    <xf numFmtId="166" fontId="2" fillId="0" borderId="8" xfId="0" applyNumberFormat="1" applyFont="1" applyBorder="1"/>
    <xf numFmtId="166" fontId="0" fillId="0" borderId="8" xfId="0" applyNumberFormat="1" applyFont="1" applyBorder="1"/>
    <xf numFmtId="169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8" fontId="0" fillId="0" borderId="0" xfId="0" applyNumberFormat="1"/>
    <xf numFmtId="164" fontId="3" fillId="0" borderId="0" xfId="0" applyNumberFormat="1" applyFont="1"/>
    <xf numFmtId="170" fontId="0" fillId="0" borderId="0" xfId="22" applyNumberFormat="1" applyFont="1"/>
    <xf numFmtId="168" fontId="0" fillId="0" borderId="0" xfId="22" applyNumberFormat="1" applyFont="1"/>
    <xf numFmtId="168" fontId="0" fillId="0" borderId="8" xfId="0" applyNumberFormat="1" applyBorder="1"/>
    <xf numFmtId="0" fontId="4" fillId="5" borderId="18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9" fontId="2" fillId="0" borderId="8" xfId="0" applyNumberFormat="1" applyFont="1" applyBorder="1" applyAlignment="1">
      <alignment horizontal="right" wrapText="1"/>
    </xf>
    <xf numFmtId="0" fontId="11" fillId="8" borderId="10" xfId="0" applyFont="1" applyFill="1" applyBorder="1" applyAlignment="1">
      <alignment vertical="center" wrapText="1"/>
    </xf>
    <xf numFmtId="0" fontId="11" fillId="8" borderId="10" xfId="0" applyFont="1" applyFill="1" applyBorder="1" applyAlignment="1">
      <alignment horizontal="right" vertical="center" wrapText="1"/>
    </xf>
    <xf numFmtId="168" fontId="11" fillId="8" borderId="24" xfId="0" applyNumberFormat="1" applyFont="1" applyFill="1" applyBorder="1" applyAlignment="1">
      <alignment vertical="center" wrapText="1"/>
    </xf>
    <xf numFmtId="169" fontId="11" fillId="8" borderId="19" xfId="0" applyNumberFormat="1" applyFont="1" applyFill="1" applyBorder="1" applyAlignment="1">
      <alignment vertical="center" wrapText="1"/>
    </xf>
    <xf numFmtId="0" fontId="0" fillId="8" borderId="21" xfId="0" applyFill="1" applyBorder="1" applyAlignment="1">
      <alignment vertical="center" wrapText="1"/>
    </xf>
    <xf numFmtId="3" fontId="2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0" fontId="0" fillId="0" borderId="0" xfId="0" applyAlignment="1"/>
    <xf numFmtId="0" fontId="0" fillId="5" borderId="10" xfId="0" applyFont="1" applyFill="1" applyBorder="1" applyAlignment="1">
      <alignment horizontal="justify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2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Himmel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view="pageBreakPreview" zoomScale="85" zoomScaleNormal="80" zoomScaleSheetLayoutView="85" zoomScalePageLayoutView="85" workbookViewId="0">
      <selection activeCell="L37" sqref="L37"/>
    </sheetView>
  </sheetViews>
  <sheetFormatPr defaultColWidth="8.88671875" defaultRowHeight="14.4" x14ac:dyDescent="0.3"/>
  <cols>
    <col min="2" max="2" width="26" style="1" customWidth="1"/>
    <col min="3" max="3" width="73.6640625" style="1" customWidth="1"/>
    <col min="4" max="4" width="2.6640625" style="3" customWidth="1"/>
    <col min="5" max="5" width="36.109375" customWidth="1"/>
    <col min="6" max="6" width="18.6640625" customWidth="1"/>
    <col min="7" max="7" width="12.6640625" customWidth="1"/>
    <col min="8" max="8" width="13.109375" customWidth="1"/>
    <col min="9" max="9" width="20.5546875" style="18" customWidth="1"/>
    <col min="10" max="10" width="21.109375" style="18" bestFit="1" customWidth="1"/>
    <col min="11" max="11" width="22.109375" style="18" bestFit="1" customWidth="1"/>
    <col min="12" max="12" width="56" customWidth="1"/>
    <col min="13" max="13" width="8.88671875" customWidth="1"/>
    <col min="14" max="14" width="16.44140625" bestFit="1" customWidth="1"/>
    <col min="15" max="15" width="13.88671875" bestFit="1" customWidth="1"/>
  </cols>
  <sheetData>
    <row r="1" spans="1:15" ht="31.2" x14ac:dyDescent="0.6">
      <c r="A1" s="124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5" ht="18" thickBot="1" x14ac:dyDescent="0.4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5" ht="15" thickBot="1" x14ac:dyDescent="0.35">
      <c r="A3" s="118" t="s">
        <v>0</v>
      </c>
      <c r="B3" s="120" t="s">
        <v>1</v>
      </c>
      <c r="C3" s="122" t="s">
        <v>27</v>
      </c>
      <c r="D3" s="26"/>
      <c r="E3" s="27"/>
      <c r="F3" s="27"/>
      <c r="G3" s="27"/>
      <c r="H3" s="66"/>
      <c r="I3" s="45"/>
      <c r="J3" s="45"/>
      <c r="K3" s="64"/>
      <c r="L3" s="129"/>
    </row>
    <row r="4" spans="1:15" ht="15" thickBot="1" x14ac:dyDescent="0.35">
      <c r="A4" s="119"/>
      <c r="B4" s="121"/>
      <c r="C4" s="123"/>
      <c r="D4" s="42"/>
      <c r="E4" s="43"/>
      <c r="F4" s="43" t="s">
        <v>62</v>
      </c>
      <c r="G4" s="43" t="s">
        <v>63</v>
      </c>
      <c r="H4" s="67" t="s">
        <v>64</v>
      </c>
      <c r="I4" s="46" t="s">
        <v>61</v>
      </c>
      <c r="J4" s="46" t="s">
        <v>75</v>
      </c>
      <c r="K4" s="65" t="s">
        <v>76</v>
      </c>
      <c r="L4" s="130"/>
      <c r="M4" s="4"/>
    </row>
    <row r="5" spans="1:15" ht="28.8" x14ac:dyDescent="0.3">
      <c r="A5" s="134">
        <v>1</v>
      </c>
      <c r="B5" s="131" t="s">
        <v>2</v>
      </c>
      <c r="C5" s="128" t="s">
        <v>28</v>
      </c>
      <c r="D5" s="35"/>
      <c r="E5" s="36" t="s">
        <v>13</v>
      </c>
      <c r="F5" s="36" t="s">
        <v>65</v>
      </c>
      <c r="G5" s="41">
        <f>960*4</f>
        <v>3840</v>
      </c>
      <c r="H5" s="68">
        <v>168</v>
      </c>
      <c r="I5" s="47">
        <f>G5*H5</f>
        <v>645120</v>
      </c>
      <c r="J5" s="47">
        <v>387072</v>
      </c>
      <c r="K5" s="47">
        <v>258048</v>
      </c>
      <c r="L5" s="56" t="s">
        <v>35</v>
      </c>
      <c r="M5" s="4"/>
      <c r="O5" s="5"/>
    </row>
    <row r="6" spans="1:15" ht="46.5" customHeight="1" x14ac:dyDescent="0.3">
      <c r="A6" s="135"/>
      <c r="B6" s="132"/>
      <c r="C6" s="114"/>
      <c r="D6" s="22"/>
      <c r="E6" s="23" t="s">
        <v>11</v>
      </c>
      <c r="F6" s="23" t="s">
        <v>66</v>
      </c>
      <c r="G6" s="24">
        <v>960</v>
      </c>
      <c r="H6" s="69">
        <v>269</v>
      </c>
      <c r="I6" s="48">
        <f>G6*H6</f>
        <v>258240</v>
      </c>
      <c r="J6" s="48">
        <v>154944</v>
      </c>
      <c r="K6" s="48">
        <v>103296</v>
      </c>
      <c r="L6" s="57" t="s">
        <v>36</v>
      </c>
      <c r="M6" s="4"/>
    </row>
    <row r="7" spans="1:15" ht="15" thickBot="1" x14ac:dyDescent="0.35">
      <c r="A7" s="136"/>
      <c r="B7" s="133"/>
      <c r="C7" s="30" t="s">
        <v>59</v>
      </c>
      <c r="D7" s="16"/>
      <c r="E7" s="17"/>
      <c r="F7" s="17"/>
      <c r="G7" s="44"/>
      <c r="H7" s="70"/>
      <c r="I7" s="49">
        <f>SUM(I5:I6)</f>
        <v>903360</v>
      </c>
      <c r="J7" s="49">
        <v>542016</v>
      </c>
      <c r="K7" s="49">
        <v>361344</v>
      </c>
      <c r="L7" s="58"/>
      <c r="M7" s="4"/>
      <c r="N7" s="6"/>
    </row>
    <row r="8" spans="1:15" x14ac:dyDescent="0.3">
      <c r="A8" s="134">
        <v>2</v>
      </c>
      <c r="B8" s="131" t="s">
        <v>3</v>
      </c>
      <c r="C8" s="113" t="s">
        <v>29</v>
      </c>
      <c r="D8" s="35"/>
      <c r="E8" s="36" t="s">
        <v>14</v>
      </c>
      <c r="F8" s="36" t="s">
        <v>67</v>
      </c>
      <c r="G8" s="41">
        <f>800</f>
        <v>800</v>
      </c>
      <c r="H8" s="71">
        <v>500</v>
      </c>
      <c r="I8" s="47">
        <f>G8*H8</f>
        <v>400000</v>
      </c>
      <c r="J8" s="47">
        <v>240000</v>
      </c>
      <c r="K8" s="47">
        <v>160000</v>
      </c>
      <c r="L8" s="56" t="s">
        <v>37</v>
      </c>
      <c r="M8" s="4"/>
    </row>
    <row r="9" spans="1:15" ht="28.8" x14ac:dyDescent="0.3">
      <c r="A9" s="135"/>
      <c r="B9" s="132"/>
      <c r="C9" s="114"/>
      <c r="D9" s="22"/>
      <c r="E9" s="23" t="s">
        <v>39</v>
      </c>
      <c r="F9" s="23" t="s">
        <v>66</v>
      </c>
      <c r="G9" s="24">
        <v>1000</v>
      </c>
      <c r="H9" s="69">
        <v>500</v>
      </c>
      <c r="I9" s="51">
        <f>G9*H9</f>
        <v>500000</v>
      </c>
      <c r="J9" s="48">
        <v>300000</v>
      </c>
      <c r="K9" s="48">
        <v>200000</v>
      </c>
      <c r="L9" s="57" t="s">
        <v>40</v>
      </c>
      <c r="M9" s="4"/>
    </row>
    <row r="10" spans="1:15" ht="15" thickBot="1" x14ac:dyDescent="0.35">
      <c r="A10" s="136"/>
      <c r="B10" s="133"/>
      <c r="C10" s="30" t="s">
        <v>59</v>
      </c>
      <c r="D10" s="16"/>
      <c r="E10" s="17"/>
      <c r="F10" s="17"/>
      <c r="G10" s="44"/>
      <c r="H10" s="70"/>
      <c r="I10" s="49">
        <f>SUM(I8:I9)</f>
        <v>900000</v>
      </c>
      <c r="J10" s="49">
        <v>540000</v>
      </c>
      <c r="K10" s="49">
        <v>360000</v>
      </c>
      <c r="L10" s="58"/>
      <c r="M10" s="4"/>
      <c r="N10" s="6"/>
    </row>
    <row r="11" spans="1:15" ht="28.8" x14ac:dyDescent="0.3">
      <c r="A11" s="107">
        <v>3</v>
      </c>
      <c r="B11" s="115" t="s">
        <v>4</v>
      </c>
      <c r="C11" s="113" t="s">
        <v>30</v>
      </c>
      <c r="D11" s="35"/>
      <c r="E11" s="36" t="s">
        <v>38</v>
      </c>
      <c r="F11" s="36" t="s">
        <v>65</v>
      </c>
      <c r="G11" s="41">
        <f>700*4</f>
        <v>2800</v>
      </c>
      <c r="H11" s="68">
        <v>168</v>
      </c>
      <c r="I11" s="50">
        <f>G11*H11</f>
        <v>470400</v>
      </c>
      <c r="J11" s="50">
        <v>282240</v>
      </c>
      <c r="K11" s="50">
        <v>188160</v>
      </c>
      <c r="L11" s="56" t="s">
        <v>35</v>
      </c>
      <c r="M11" s="4"/>
    </row>
    <row r="12" spans="1:15" x14ac:dyDescent="0.3">
      <c r="A12" s="108"/>
      <c r="B12" s="116"/>
      <c r="C12" s="114"/>
      <c r="D12" s="22"/>
      <c r="E12" s="23" t="s">
        <v>15</v>
      </c>
      <c r="F12" s="23" t="s">
        <v>66</v>
      </c>
      <c r="G12" s="25">
        <v>700</v>
      </c>
      <c r="H12" s="69">
        <v>250</v>
      </c>
      <c r="I12" s="51">
        <f>G12*H12</f>
        <v>175000</v>
      </c>
      <c r="J12" s="51">
        <v>105000</v>
      </c>
      <c r="K12" s="51">
        <v>70000</v>
      </c>
      <c r="L12" s="57" t="s">
        <v>41</v>
      </c>
      <c r="M12" s="4"/>
    </row>
    <row r="13" spans="1:15" ht="43.2" x14ac:dyDescent="0.3">
      <c r="A13" s="108"/>
      <c r="B13" s="116"/>
      <c r="C13" s="114"/>
      <c r="D13" s="22"/>
      <c r="E13" s="23" t="s">
        <v>16</v>
      </c>
      <c r="F13" s="23" t="s">
        <v>66</v>
      </c>
      <c r="G13" s="25">
        <v>900</v>
      </c>
      <c r="H13" s="69">
        <v>250</v>
      </c>
      <c r="I13" s="51">
        <f>G13*H13</f>
        <v>225000</v>
      </c>
      <c r="J13" s="51">
        <v>135000</v>
      </c>
      <c r="K13" s="51">
        <v>90000</v>
      </c>
      <c r="L13" s="57" t="s">
        <v>44</v>
      </c>
      <c r="M13" s="4"/>
    </row>
    <row r="14" spans="1:15" ht="15" thickBot="1" x14ac:dyDescent="0.35">
      <c r="A14" s="109"/>
      <c r="B14" s="117"/>
      <c r="C14" s="30" t="s">
        <v>59</v>
      </c>
      <c r="D14" s="16"/>
      <c r="E14" s="17"/>
      <c r="F14" s="17"/>
      <c r="G14" s="38"/>
      <c r="H14" s="70"/>
      <c r="I14" s="49">
        <f>SUM(I11:I13)</f>
        <v>870400</v>
      </c>
      <c r="J14" s="49">
        <v>522240</v>
      </c>
      <c r="K14" s="49">
        <v>348160</v>
      </c>
      <c r="L14" s="58"/>
      <c r="M14" s="4"/>
      <c r="N14" s="6"/>
    </row>
    <row r="15" spans="1:15" ht="43.2" x14ac:dyDescent="0.3">
      <c r="A15" s="107">
        <v>4</v>
      </c>
      <c r="B15" s="115" t="s">
        <v>5</v>
      </c>
      <c r="C15" s="113" t="s">
        <v>31</v>
      </c>
      <c r="D15" s="35"/>
      <c r="E15" s="36" t="s">
        <v>45</v>
      </c>
      <c r="F15" s="36" t="s">
        <v>66</v>
      </c>
      <c r="G15" s="41">
        <v>1700</v>
      </c>
      <c r="H15" s="68">
        <v>237</v>
      </c>
      <c r="I15" s="50">
        <f t="shared" ref="I15:I20" si="0">G15*H15</f>
        <v>402900</v>
      </c>
      <c r="J15" s="50">
        <v>241740</v>
      </c>
      <c r="K15" s="50">
        <v>161160</v>
      </c>
      <c r="L15" s="56" t="s">
        <v>46</v>
      </c>
      <c r="M15" s="4"/>
    </row>
    <row r="16" spans="1:15" x14ac:dyDescent="0.3">
      <c r="A16" s="108"/>
      <c r="B16" s="116"/>
      <c r="C16" s="114"/>
      <c r="D16" s="22"/>
      <c r="E16" s="23" t="s">
        <v>12</v>
      </c>
      <c r="F16" s="23" t="s">
        <v>68</v>
      </c>
      <c r="G16" s="25">
        <v>2</v>
      </c>
      <c r="H16" s="72">
        <v>75000</v>
      </c>
      <c r="I16" s="51">
        <f t="shared" si="0"/>
        <v>150000</v>
      </c>
      <c r="J16" s="51">
        <v>90000</v>
      </c>
      <c r="K16" s="51">
        <v>60000</v>
      </c>
      <c r="L16" s="57" t="s">
        <v>42</v>
      </c>
      <c r="M16" s="4"/>
    </row>
    <row r="17" spans="1:15" x14ac:dyDescent="0.3">
      <c r="A17" s="108"/>
      <c r="B17" s="116"/>
      <c r="C17" s="114"/>
      <c r="D17" s="22"/>
      <c r="E17" s="23" t="s">
        <v>17</v>
      </c>
      <c r="F17" s="23" t="s">
        <v>66</v>
      </c>
      <c r="G17" s="25">
        <v>500</v>
      </c>
      <c r="H17" s="69">
        <v>60</v>
      </c>
      <c r="I17" s="51">
        <f t="shared" si="0"/>
        <v>30000</v>
      </c>
      <c r="J17" s="51">
        <v>18000</v>
      </c>
      <c r="K17" s="51">
        <v>12000</v>
      </c>
      <c r="L17" s="57" t="s">
        <v>43</v>
      </c>
      <c r="M17" s="4"/>
    </row>
    <row r="18" spans="1:15" x14ac:dyDescent="0.3">
      <c r="A18" s="108"/>
      <c r="B18" s="116"/>
      <c r="C18" s="114"/>
      <c r="D18" s="22"/>
      <c r="E18" s="23" t="s">
        <v>18</v>
      </c>
      <c r="F18" s="23" t="s">
        <v>69</v>
      </c>
      <c r="G18" s="25">
        <v>2</v>
      </c>
      <c r="H18" s="69">
        <v>25000</v>
      </c>
      <c r="I18" s="51">
        <f t="shared" si="0"/>
        <v>50000</v>
      </c>
      <c r="J18" s="51">
        <v>30000</v>
      </c>
      <c r="K18" s="51">
        <v>20000</v>
      </c>
      <c r="L18" s="57" t="s">
        <v>55</v>
      </c>
      <c r="M18" s="4"/>
    </row>
    <row r="19" spans="1:15" ht="43.2" x14ac:dyDescent="0.3">
      <c r="A19" s="108"/>
      <c r="B19" s="116"/>
      <c r="C19" s="114"/>
      <c r="D19" s="22"/>
      <c r="E19" s="23" t="s">
        <v>19</v>
      </c>
      <c r="F19" s="23" t="s">
        <v>66</v>
      </c>
      <c r="G19" s="25">
        <v>150</v>
      </c>
      <c r="H19" s="69">
        <v>300</v>
      </c>
      <c r="I19" s="51">
        <f t="shared" si="0"/>
        <v>45000</v>
      </c>
      <c r="J19" s="51">
        <v>27000</v>
      </c>
      <c r="K19" s="51">
        <v>18000</v>
      </c>
      <c r="L19" s="57" t="s">
        <v>47</v>
      </c>
      <c r="M19" s="4"/>
    </row>
    <row r="20" spans="1:15" x14ac:dyDescent="0.3">
      <c r="A20" s="108"/>
      <c r="B20" s="116"/>
      <c r="C20" s="114"/>
      <c r="D20" s="22"/>
      <c r="E20" s="23" t="s">
        <v>20</v>
      </c>
      <c r="F20" s="23" t="s">
        <v>66</v>
      </c>
      <c r="G20" s="25">
        <v>300</v>
      </c>
      <c r="H20" s="69">
        <v>250</v>
      </c>
      <c r="I20" s="51">
        <f t="shared" si="0"/>
        <v>75000</v>
      </c>
      <c r="J20" s="51">
        <v>45000</v>
      </c>
      <c r="K20" s="51">
        <v>30000</v>
      </c>
      <c r="L20" s="57" t="s">
        <v>48</v>
      </c>
      <c r="M20" s="4"/>
    </row>
    <row r="21" spans="1:15" ht="15" thickBot="1" x14ac:dyDescent="0.35">
      <c r="A21" s="109"/>
      <c r="B21" s="117"/>
      <c r="C21" s="30" t="s">
        <v>59</v>
      </c>
      <c r="D21" s="16"/>
      <c r="E21" s="17"/>
      <c r="F21" s="17"/>
      <c r="G21" s="38"/>
      <c r="H21" s="70"/>
      <c r="I21" s="49">
        <f>SUM(I15:I20)</f>
        <v>752900</v>
      </c>
      <c r="J21" s="49">
        <v>451740</v>
      </c>
      <c r="K21" s="49">
        <v>301160</v>
      </c>
      <c r="L21" s="58"/>
      <c r="M21" s="4"/>
      <c r="N21" s="6"/>
    </row>
    <row r="22" spans="1:15" x14ac:dyDescent="0.3">
      <c r="A22" s="107">
        <v>5</v>
      </c>
      <c r="B22" s="115" t="s">
        <v>6</v>
      </c>
      <c r="C22" s="113" t="s">
        <v>32</v>
      </c>
      <c r="D22" s="35"/>
      <c r="E22" s="36" t="s">
        <v>34</v>
      </c>
      <c r="F22" s="36" t="s">
        <v>70</v>
      </c>
      <c r="G22" s="37">
        <v>70</v>
      </c>
      <c r="H22" s="71">
        <v>1429</v>
      </c>
      <c r="I22" s="50">
        <f>G22*H22</f>
        <v>100030</v>
      </c>
      <c r="J22" s="50">
        <v>60018</v>
      </c>
      <c r="K22" s="50">
        <v>40012</v>
      </c>
      <c r="L22" s="56" t="s">
        <v>49</v>
      </c>
      <c r="M22" s="4"/>
    </row>
    <row r="23" spans="1:15" x14ac:dyDescent="0.3">
      <c r="A23" s="108"/>
      <c r="B23" s="116"/>
      <c r="C23" s="114"/>
      <c r="D23" s="22"/>
      <c r="E23" s="23" t="s">
        <v>50</v>
      </c>
      <c r="F23" s="23" t="s">
        <v>70</v>
      </c>
      <c r="G23" s="25">
        <v>25</v>
      </c>
      <c r="H23" s="72">
        <v>10000</v>
      </c>
      <c r="I23" s="51">
        <f>G23*H23</f>
        <v>250000</v>
      </c>
      <c r="J23" s="51">
        <v>150000</v>
      </c>
      <c r="K23" s="51">
        <v>100000</v>
      </c>
      <c r="L23" s="57" t="s">
        <v>51</v>
      </c>
      <c r="M23" s="4"/>
    </row>
    <row r="24" spans="1:15" ht="43.2" x14ac:dyDescent="0.3">
      <c r="A24" s="108"/>
      <c r="B24" s="116"/>
      <c r="C24" s="114"/>
      <c r="D24" s="22"/>
      <c r="E24" s="23" t="s">
        <v>52</v>
      </c>
      <c r="F24" s="23" t="s">
        <v>71</v>
      </c>
      <c r="G24" s="25">
        <v>4</v>
      </c>
      <c r="H24" s="72">
        <v>75000</v>
      </c>
      <c r="I24" s="51">
        <f>H24*G24</f>
        <v>300000</v>
      </c>
      <c r="J24" s="51">
        <v>180000</v>
      </c>
      <c r="K24" s="51">
        <v>120000</v>
      </c>
      <c r="L24" s="57" t="s">
        <v>53</v>
      </c>
      <c r="M24" s="4"/>
    </row>
    <row r="25" spans="1:15" ht="15" thickBot="1" x14ac:dyDescent="0.35">
      <c r="A25" s="109"/>
      <c r="B25" s="117"/>
      <c r="C25" s="30" t="s">
        <v>59</v>
      </c>
      <c r="D25" s="39"/>
      <c r="E25" s="39"/>
      <c r="F25" s="39"/>
      <c r="G25" s="40"/>
      <c r="H25" s="73"/>
      <c r="I25" s="49">
        <f>SUM(I22:I24)</f>
        <v>650030</v>
      </c>
      <c r="J25" s="49">
        <v>390018</v>
      </c>
      <c r="K25" s="49">
        <v>260012</v>
      </c>
      <c r="L25" s="59"/>
      <c r="M25" s="4"/>
      <c r="N25" s="6"/>
    </row>
    <row r="26" spans="1:15" ht="28.8" x14ac:dyDescent="0.3">
      <c r="A26" s="107">
        <v>6</v>
      </c>
      <c r="B26" s="115" t="s">
        <v>7</v>
      </c>
      <c r="C26" s="113" t="s">
        <v>58</v>
      </c>
      <c r="D26" s="35"/>
      <c r="E26" s="36" t="s">
        <v>21</v>
      </c>
      <c r="F26" s="36" t="s">
        <v>65</v>
      </c>
      <c r="G26" s="37">
        <f>24*7</f>
        <v>168</v>
      </c>
      <c r="H26" s="71">
        <v>4688</v>
      </c>
      <c r="I26" s="50">
        <f>G26*H26</f>
        <v>787584</v>
      </c>
      <c r="J26" s="50">
        <v>472550.39999999997</v>
      </c>
      <c r="K26" s="50">
        <v>315033.60000000003</v>
      </c>
      <c r="L26" s="56" t="s">
        <v>54</v>
      </c>
      <c r="M26" s="4"/>
    </row>
    <row r="27" spans="1:15" ht="28.8" x14ac:dyDescent="0.3">
      <c r="A27" s="108"/>
      <c r="B27" s="116"/>
      <c r="C27" s="114"/>
      <c r="D27" s="22"/>
      <c r="E27" s="23" t="s">
        <v>22</v>
      </c>
      <c r="F27" s="23" t="s">
        <v>65</v>
      </c>
      <c r="G27" s="25">
        <f>24*4</f>
        <v>96</v>
      </c>
      <c r="H27" s="69">
        <v>1211</v>
      </c>
      <c r="I27" s="51">
        <f>G27*H27</f>
        <v>116256</v>
      </c>
      <c r="J27" s="51">
        <v>69753.599999999991</v>
      </c>
      <c r="K27" s="51">
        <v>46502.400000000001</v>
      </c>
      <c r="L27" s="57" t="s">
        <v>56</v>
      </c>
      <c r="M27" s="4"/>
    </row>
    <row r="28" spans="1:15" ht="15" thickBot="1" x14ac:dyDescent="0.35">
      <c r="A28" s="109"/>
      <c r="B28" s="117"/>
      <c r="C28" s="30" t="s">
        <v>59</v>
      </c>
      <c r="D28" s="16"/>
      <c r="E28" s="17"/>
      <c r="F28" s="17"/>
      <c r="G28" s="38"/>
      <c r="H28" s="70"/>
      <c r="I28" s="49">
        <f>SUM(I26:I27)</f>
        <v>903840</v>
      </c>
      <c r="J28" s="49">
        <v>542304</v>
      </c>
      <c r="K28" s="49">
        <v>361536.00000000006</v>
      </c>
      <c r="L28" s="58"/>
      <c r="M28" s="4"/>
      <c r="N28" s="6"/>
    </row>
    <row r="29" spans="1:15" ht="57.6" x14ac:dyDescent="0.3">
      <c r="A29" s="107">
        <v>7</v>
      </c>
      <c r="B29" s="115" t="s">
        <v>23</v>
      </c>
      <c r="C29" s="113" t="s">
        <v>33</v>
      </c>
      <c r="D29" s="35"/>
      <c r="E29" s="100" t="s">
        <v>25</v>
      </c>
      <c r="F29" s="100" t="s">
        <v>72</v>
      </c>
      <c r="G29" s="101">
        <v>24</v>
      </c>
      <c r="H29" s="102">
        <v>6458</v>
      </c>
      <c r="I29" s="103">
        <f>G29*H29</f>
        <v>154992</v>
      </c>
      <c r="J29" s="103">
        <v>92995.199999999997</v>
      </c>
      <c r="K29" s="103">
        <v>61996.800000000003</v>
      </c>
      <c r="L29" s="104" t="s">
        <v>57</v>
      </c>
      <c r="M29" s="106">
        <f>I37*0.02</f>
        <v>111772.67080000001</v>
      </c>
    </row>
    <row r="30" spans="1:15" x14ac:dyDescent="0.3">
      <c r="A30" s="108"/>
      <c r="B30" s="116"/>
      <c r="C30" s="114"/>
      <c r="D30" s="22"/>
      <c r="E30" s="23" t="s">
        <v>24</v>
      </c>
      <c r="F30" s="23" t="s">
        <v>73</v>
      </c>
      <c r="G30" s="25">
        <v>3</v>
      </c>
      <c r="H30" s="69">
        <v>12500</v>
      </c>
      <c r="I30" s="51">
        <f>G30*H30</f>
        <v>37500</v>
      </c>
      <c r="J30" s="51">
        <v>22500</v>
      </c>
      <c r="K30" s="51">
        <v>15000</v>
      </c>
      <c r="L30" s="60"/>
      <c r="M30" s="4"/>
    </row>
    <row r="31" spans="1:15" x14ac:dyDescent="0.3">
      <c r="A31" s="108"/>
      <c r="B31" s="116"/>
      <c r="C31" s="114"/>
      <c r="D31" s="22"/>
      <c r="E31" s="23" t="s">
        <v>26</v>
      </c>
      <c r="F31" s="23" t="s">
        <v>74</v>
      </c>
      <c r="G31" s="25">
        <v>1</v>
      </c>
      <c r="H31" s="69">
        <v>50000</v>
      </c>
      <c r="I31" s="51">
        <f>G31*H31</f>
        <v>50000</v>
      </c>
      <c r="J31" s="51">
        <v>30000</v>
      </c>
      <c r="K31" s="51">
        <v>20000</v>
      </c>
      <c r="L31" s="60"/>
      <c r="M31" s="4"/>
    </row>
    <row r="32" spans="1:15" ht="15" thickBot="1" x14ac:dyDescent="0.35">
      <c r="A32" s="109"/>
      <c r="B32" s="117"/>
      <c r="C32" s="30" t="s">
        <v>59</v>
      </c>
      <c r="D32" s="16"/>
      <c r="E32" s="17"/>
      <c r="F32" s="17"/>
      <c r="G32" s="17"/>
      <c r="H32" s="70"/>
      <c r="I32" s="49">
        <f>SUM(I29:I31)</f>
        <v>242492</v>
      </c>
      <c r="J32" s="49">
        <v>145495.20000000001</v>
      </c>
      <c r="K32" s="49">
        <v>96996.800000000003</v>
      </c>
      <c r="L32" s="58"/>
      <c r="M32" s="4"/>
      <c r="N32" s="92">
        <v>0.89464999999999995</v>
      </c>
      <c r="O32" t="s">
        <v>88</v>
      </c>
    </row>
    <row r="33" spans="1:15" ht="29.4" thickBot="1" x14ac:dyDescent="0.35">
      <c r="A33" s="97">
        <v>8</v>
      </c>
      <c r="B33" s="95" t="s">
        <v>8</v>
      </c>
      <c r="C33" s="31"/>
      <c r="D33" s="32"/>
      <c r="E33" s="33" t="s">
        <v>59</v>
      </c>
      <c r="F33" s="34"/>
      <c r="G33" s="34"/>
      <c r="H33" s="74"/>
      <c r="I33" s="52">
        <f>I32+I28+I25+I21+I14+I10+I7</f>
        <v>5223022</v>
      </c>
      <c r="J33" s="52">
        <f>J7+J10+J14+J21+J25+J28+J32</f>
        <v>3133813.2</v>
      </c>
      <c r="K33" s="52">
        <f>K7+K10+K14+K21+K25+K28+K32</f>
        <v>2089208.8</v>
      </c>
      <c r="L33" s="61"/>
      <c r="M33" s="4"/>
      <c r="N33" s="90">
        <f>I33*N32</f>
        <v>4672776.6322999997</v>
      </c>
      <c r="O33" s="6" t="s">
        <v>91</v>
      </c>
    </row>
    <row r="34" spans="1:15" ht="15.75" customHeight="1" x14ac:dyDescent="0.3">
      <c r="A34" s="107">
        <v>9</v>
      </c>
      <c r="B34" s="110" t="s">
        <v>9</v>
      </c>
      <c r="C34" s="29"/>
      <c r="D34" s="13"/>
      <c r="E34" s="14" t="s">
        <v>84</v>
      </c>
      <c r="F34" s="15"/>
      <c r="G34" s="15"/>
      <c r="H34" s="75"/>
      <c r="I34" s="53">
        <f>ROUND(N33*0.07,2)</f>
        <v>327094.36</v>
      </c>
      <c r="J34" s="53">
        <f>ROUND(I34*D43,2)</f>
        <v>196256.62</v>
      </c>
      <c r="K34" s="53">
        <f>ROUND(I34*E43,2)</f>
        <v>130837.74</v>
      </c>
      <c r="L34" s="62"/>
      <c r="M34" s="4"/>
      <c r="N34" s="90">
        <f>N33*0.07</f>
        <v>327094.36426100001</v>
      </c>
      <c r="O34" t="s">
        <v>89</v>
      </c>
    </row>
    <row r="35" spans="1:15" x14ac:dyDescent="0.3">
      <c r="A35" s="108"/>
      <c r="B35" s="111"/>
      <c r="C35" s="10"/>
      <c r="D35" s="9"/>
      <c r="E35" s="11" t="s">
        <v>85</v>
      </c>
      <c r="F35" s="12"/>
      <c r="G35" s="12"/>
      <c r="H35" s="76"/>
      <c r="I35" s="54">
        <f>(I33*0.07)-I34</f>
        <v>38517.180000000051</v>
      </c>
      <c r="J35" s="54">
        <f>(ROUND(J33*0.07,2))-J34</f>
        <v>23110.300000000017</v>
      </c>
      <c r="K35" s="54">
        <f>(ROUND(K33*0.07,2))-K34</f>
        <v>15406.87999999999</v>
      </c>
      <c r="L35" s="60"/>
      <c r="M35" s="4"/>
      <c r="N35" s="6"/>
    </row>
    <row r="36" spans="1:15" ht="15" thickBot="1" x14ac:dyDescent="0.35">
      <c r="A36" s="109"/>
      <c r="B36" s="112"/>
      <c r="C36" s="30" t="s">
        <v>59</v>
      </c>
      <c r="D36" s="16"/>
      <c r="E36" s="17"/>
      <c r="F36" s="17"/>
      <c r="G36" s="17"/>
      <c r="H36" s="70"/>
      <c r="I36" s="49">
        <f>SUM(I34:I35)</f>
        <v>365611.54000000004</v>
      </c>
      <c r="J36" s="49">
        <f>SUM(J34:J35)</f>
        <v>219366.92</v>
      </c>
      <c r="K36" s="49">
        <f>SUM(K34:K35)</f>
        <v>146244.62</v>
      </c>
      <c r="L36" s="58"/>
      <c r="M36" s="4"/>
      <c r="N36" s="93">
        <f>N34+N33</f>
        <v>4999870.9965610001</v>
      </c>
      <c r="O36" t="s">
        <v>92</v>
      </c>
    </row>
    <row r="37" spans="1:15" s="2" customFormat="1" ht="35.4" thickBot="1" x14ac:dyDescent="0.4">
      <c r="A37" s="98">
        <v>10</v>
      </c>
      <c r="B37" s="96" t="s">
        <v>10</v>
      </c>
      <c r="C37" s="28"/>
      <c r="D37" s="77">
        <f>I33+I35</f>
        <v>5261539.18</v>
      </c>
      <c r="E37" s="78"/>
      <c r="F37" s="78"/>
      <c r="G37" s="78"/>
      <c r="H37" s="78"/>
      <c r="I37" s="55">
        <f>I36+I33</f>
        <v>5588633.54</v>
      </c>
      <c r="J37" s="55">
        <f>J36+J33</f>
        <v>3353180.12</v>
      </c>
      <c r="K37" s="55">
        <f>K36+K33</f>
        <v>2235453.42</v>
      </c>
      <c r="L37" s="63"/>
      <c r="M37" s="106">
        <f>J37*0.02</f>
        <v>67063.602400000003</v>
      </c>
      <c r="N37" s="90">
        <v>5000000</v>
      </c>
      <c r="O37" t="s">
        <v>90</v>
      </c>
    </row>
    <row r="38" spans="1:15" x14ac:dyDescent="0.3">
      <c r="N38" s="90">
        <f>N37-N36</f>
        <v>129.00343899987638</v>
      </c>
      <c r="O38" t="s">
        <v>86</v>
      </c>
    </row>
    <row r="39" spans="1:15" ht="17.399999999999999" x14ac:dyDescent="0.35">
      <c r="C39" s="105"/>
      <c r="N39" s="91"/>
      <c r="O39" s="2"/>
    </row>
    <row r="40" spans="1:15" x14ac:dyDescent="0.3">
      <c r="C40"/>
      <c r="D40"/>
      <c r="K40" s="92">
        <f>N36/I37</f>
        <v>0.89465000000000006</v>
      </c>
    </row>
    <row r="41" spans="1:15" x14ac:dyDescent="0.3">
      <c r="C41" s="18"/>
      <c r="D41" s="18"/>
      <c r="E41" s="18" t="b">
        <f>D37=K40</f>
        <v>0</v>
      </c>
      <c r="I41"/>
      <c r="J41"/>
      <c r="K41"/>
    </row>
    <row r="42" spans="1:15" x14ac:dyDescent="0.3">
      <c r="C42" s="18"/>
      <c r="D42" s="18"/>
      <c r="E42" s="18"/>
      <c r="I42"/>
      <c r="J42"/>
      <c r="K42"/>
      <c r="N42" s="6"/>
    </row>
    <row r="43" spans="1:15" x14ac:dyDescent="0.3">
      <c r="C43" s="18"/>
      <c r="D43" s="18">
        <f>J33/I33</f>
        <v>0.60000000000000009</v>
      </c>
      <c r="E43" s="18">
        <f>K33/I33</f>
        <v>0.4</v>
      </c>
      <c r="I43"/>
      <c r="J43"/>
      <c r="K43"/>
    </row>
    <row r="44" spans="1:15" x14ac:dyDescent="0.3">
      <c r="C44" s="19"/>
      <c r="D44" s="18"/>
      <c r="E44" s="18">
        <f>K34+J34</f>
        <v>327094.36</v>
      </c>
      <c r="I44"/>
      <c r="J44"/>
      <c r="K44"/>
    </row>
    <row r="45" spans="1:15" x14ac:dyDescent="0.3">
      <c r="C45" s="18"/>
      <c r="D45" s="18"/>
      <c r="E45" s="18"/>
      <c r="I45"/>
      <c r="J45"/>
      <c r="K45"/>
    </row>
    <row r="46" spans="1:15" x14ac:dyDescent="0.3">
      <c r="C46" s="18"/>
      <c r="D46" s="18"/>
      <c r="E46" s="18"/>
      <c r="I46"/>
      <c r="J46"/>
      <c r="K46"/>
    </row>
    <row r="47" spans="1:15" x14ac:dyDescent="0.3">
      <c r="C47" s="20"/>
      <c r="D47" s="18"/>
      <c r="E47" s="18"/>
      <c r="I47"/>
      <c r="J47"/>
      <c r="K47"/>
    </row>
    <row r="48" spans="1:15" x14ac:dyDescent="0.3">
      <c r="C48" s="20"/>
      <c r="D48" s="18"/>
      <c r="E48" s="99" t="s">
        <v>95</v>
      </c>
      <c r="F48" s="89" t="s">
        <v>77</v>
      </c>
      <c r="G48" s="88" t="s">
        <v>78</v>
      </c>
      <c r="H48" s="89" t="s">
        <v>86</v>
      </c>
      <c r="I48" s="89" t="s">
        <v>87</v>
      </c>
      <c r="J48" s="89"/>
      <c r="K48"/>
    </row>
    <row r="49" spans="3:16" ht="27.75" customHeight="1" x14ac:dyDescent="0.3">
      <c r="C49" s="20"/>
      <c r="D49" s="18"/>
      <c r="E49" s="87"/>
      <c r="F49" s="88" t="s">
        <v>79</v>
      </c>
      <c r="G49" s="89" t="s">
        <v>80</v>
      </c>
      <c r="H49" s="83"/>
      <c r="I49" s="79"/>
      <c r="J49" s="79"/>
      <c r="K49"/>
    </row>
    <row r="50" spans="3:16" x14ac:dyDescent="0.3">
      <c r="C50" s="20"/>
      <c r="D50" s="18"/>
      <c r="E50" s="81" t="s">
        <v>93</v>
      </c>
      <c r="F50" s="82">
        <f>J37</f>
        <v>3353180.12</v>
      </c>
      <c r="G50" s="83">
        <f>K37</f>
        <v>2235453.42</v>
      </c>
      <c r="H50" s="82"/>
      <c r="I50" s="84">
        <f>F50+G50</f>
        <v>5588633.54</v>
      </c>
      <c r="J50" s="79" t="b">
        <f>I37=I50</f>
        <v>1</v>
      </c>
      <c r="K50"/>
      <c r="P50" s="7"/>
    </row>
    <row r="51" spans="3:16" x14ac:dyDescent="0.3">
      <c r="C51" s="18"/>
      <c r="D51" s="18"/>
      <c r="E51" s="81" t="s">
        <v>94</v>
      </c>
      <c r="F51" s="82">
        <f>F50*K40</f>
        <v>2999922.5943580004</v>
      </c>
      <c r="G51" s="82">
        <f>G50*K40</f>
        <v>1999948.4022030002</v>
      </c>
      <c r="H51" s="82"/>
      <c r="I51" s="84">
        <f>F51+G51</f>
        <v>4999870.9965610001</v>
      </c>
      <c r="J51" s="94" t="b">
        <f>I51=N36</f>
        <v>1</v>
      </c>
      <c r="K51"/>
      <c r="P51" s="7"/>
    </row>
    <row r="52" spans="3:16" x14ac:dyDescent="0.3">
      <c r="C52" s="18"/>
      <c r="D52" s="18"/>
      <c r="E52" s="81" t="s">
        <v>81</v>
      </c>
      <c r="F52" s="85">
        <f>ROUND(F51*0.95,2)</f>
        <v>2849926.46</v>
      </c>
      <c r="G52" s="86">
        <f>ROUND(G51*0.95,2)</f>
        <v>1899950.98</v>
      </c>
      <c r="H52" s="82"/>
      <c r="I52" s="79"/>
      <c r="J52" s="79"/>
      <c r="K52"/>
      <c r="P52" s="7"/>
    </row>
    <row r="53" spans="3:16" x14ac:dyDescent="0.3">
      <c r="C53" s="18"/>
      <c r="D53" s="21"/>
      <c r="E53" s="81" t="s">
        <v>82</v>
      </c>
      <c r="F53" s="82"/>
      <c r="G53" s="84">
        <f>ROUND(F51*0.005,2)</f>
        <v>14999.61</v>
      </c>
      <c r="H53" s="85"/>
      <c r="I53" s="79"/>
      <c r="J53" s="79"/>
      <c r="K53"/>
      <c r="P53" s="7"/>
    </row>
    <row r="54" spans="3:16" x14ac:dyDescent="0.3">
      <c r="C54" s="18"/>
      <c r="D54" s="18"/>
      <c r="E54" s="81" t="s">
        <v>83</v>
      </c>
      <c r="F54" s="82"/>
      <c r="G54" s="85">
        <f>SUM(G52:G53)</f>
        <v>1914950.59</v>
      </c>
      <c r="H54" s="85">
        <f>ROUND((I51-F52-G54),2)</f>
        <v>234993.95</v>
      </c>
      <c r="I54" s="85">
        <f>H54+G54+F52</f>
        <v>4999871</v>
      </c>
      <c r="J54" s="85"/>
      <c r="K54" s="8"/>
      <c r="L54" s="8"/>
      <c r="M54" s="8"/>
      <c r="N54" s="8"/>
      <c r="O54" s="8"/>
      <c r="P54" s="8"/>
    </row>
    <row r="55" spans="3:16" x14ac:dyDescent="0.3">
      <c r="C55" s="18"/>
      <c r="D55" s="18"/>
      <c r="E55" s="80"/>
      <c r="F55" s="82"/>
      <c r="G55" s="82"/>
      <c r="H55" s="79"/>
      <c r="I55" s="82"/>
      <c r="J55" s="82"/>
      <c r="K55" s="7"/>
      <c r="L55" s="7"/>
      <c r="M55" s="7"/>
      <c r="N55" s="7"/>
      <c r="O55" s="7"/>
      <c r="P55" s="7"/>
    </row>
    <row r="56" spans="3:16" x14ac:dyDescent="0.3">
      <c r="C56" s="18"/>
      <c r="D56" s="18"/>
      <c r="E56" s="80"/>
      <c r="F56" s="79"/>
      <c r="G56" s="79"/>
      <c r="H56" s="79"/>
      <c r="I56" s="79"/>
      <c r="J56" s="79"/>
      <c r="K56"/>
    </row>
    <row r="57" spans="3:16" x14ac:dyDescent="0.3">
      <c r="C57"/>
      <c r="D57"/>
      <c r="H57" s="18"/>
      <c r="K57"/>
    </row>
    <row r="58" spans="3:16" x14ac:dyDescent="0.3">
      <c r="C58"/>
      <c r="D58"/>
      <c r="K58"/>
    </row>
  </sheetData>
  <mergeCells count="29">
    <mergeCell ref="A1:L1"/>
    <mergeCell ref="A2:L2"/>
    <mergeCell ref="C5:C6"/>
    <mergeCell ref="C8:C9"/>
    <mergeCell ref="C11:C13"/>
    <mergeCell ref="L3:L4"/>
    <mergeCell ref="B5:B7"/>
    <mergeCell ref="A5:A7"/>
    <mergeCell ref="B8:B10"/>
    <mergeCell ref="A8:A10"/>
    <mergeCell ref="C15:C20"/>
    <mergeCell ref="C22:C24"/>
    <mergeCell ref="A3:A4"/>
    <mergeCell ref="B3:B4"/>
    <mergeCell ref="C3:C4"/>
    <mergeCell ref="B11:B14"/>
    <mergeCell ref="A11:A14"/>
    <mergeCell ref="A15:A21"/>
    <mergeCell ref="B15:B21"/>
    <mergeCell ref="A34:A36"/>
    <mergeCell ref="B34:B36"/>
    <mergeCell ref="C26:C27"/>
    <mergeCell ref="C29:C31"/>
    <mergeCell ref="A22:A25"/>
    <mergeCell ref="B22:B25"/>
    <mergeCell ref="A26:A28"/>
    <mergeCell ref="B26:B28"/>
    <mergeCell ref="A29:A32"/>
    <mergeCell ref="B29:B32"/>
  </mergeCells>
  <phoneticPr fontId="9" type="noConversion"/>
  <pageMargins left="0.25" right="0.25" top="0.75" bottom="0.75" header="0.3" footer="0.3"/>
  <pageSetup paperSize="9" scale="45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2014-12-16T09:00:00+00:00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>SYR</UndpOUCode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Project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_Publisher xmlns="http://schemas.microsoft.com/sharepoint/v3/fields" xsi:nil="true"/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1656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00079248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SYR</TermName>
          <TermId xmlns="http://schemas.microsoft.com/office/infopath/2007/PartnerControls">fb0956bf-c7e3-4834-a4fa-71c482a03fda</TermId>
        </TermInfo>
      </Terms>
    </gc6531b704974d528487414686b72f6f>
    <_dlc_DocId xmlns="f1161f5b-24a3-4c2d-bc81-44cb9325e8ee">ATLASPDC-4-24432</_dlc_DocId>
    <_dlc_DocIdUrl xmlns="f1161f5b-24a3-4c2d-bc81-44cb9325e8ee">
      <Url>https://info.undp.org/docs/pdc/_layouts/DocIdRedir.aspx?ID=ATLASPDC-4-24432</Url>
      <Description>ATLASPDC-4-24432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9D70081A-3A09-4372-BA3C-B20A76DFE853}"/>
</file>

<file path=customXml/itemProps2.xml><?xml version="1.0" encoding="utf-8"?>
<ds:datastoreItem xmlns:ds="http://schemas.openxmlformats.org/officeDocument/2006/customXml" ds:itemID="{D0BDFB21-6AD2-45E2-B2D9-8352B94DE1F6}"/>
</file>

<file path=customXml/itemProps3.xml><?xml version="1.0" encoding="utf-8"?>
<ds:datastoreItem xmlns:ds="http://schemas.openxmlformats.org/officeDocument/2006/customXml" ds:itemID="{F2308A64-F08F-440A-9F53-43742AEC9DD7}"/>
</file>

<file path=customXml/itemProps4.xml><?xml version="1.0" encoding="utf-8"?>
<ds:datastoreItem xmlns:ds="http://schemas.openxmlformats.org/officeDocument/2006/customXml" ds:itemID="{3391A253-177B-4E44-88D0-D9A5150BB44D}"/>
</file>

<file path=customXml/itemProps5.xml><?xml version="1.0" encoding="utf-8"?>
<ds:datastoreItem xmlns:ds="http://schemas.openxmlformats.org/officeDocument/2006/customXml" ds:itemID="{FA3A0E11-458D-4AA0-994B-B1D6DE345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 Poposal Budget</dc:title>
  <dc:subject/>
  <dc:creator>Irene Garcia</dc:creator>
  <cp:lastModifiedBy>Yasser</cp:lastModifiedBy>
  <cp:lastPrinted>2013-12-16T16:48:01Z</cp:lastPrinted>
  <dcterms:created xsi:type="dcterms:W3CDTF">2013-07-23T15:04:21Z</dcterms:created>
  <dcterms:modified xsi:type="dcterms:W3CDTF">2014-11-23T07:44:08Z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f3bc0da0-ce6c-4c24-8bd9-dc9051f84eba</vt:lpwstr>
  </property>
  <property fmtid="{D5CDD505-2E9C-101B-9397-08002B2CF9AE}" pid="4" name="UNDPCountry">
    <vt:lpwstr/>
  </property>
  <property fmtid="{D5CDD505-2E9C-101B-9397-08002B2CF9AE}" pid="5" name="Atlas_x0020_Document_x0020_Type">
    <vt:lpwstr>287;#Budget|fc549c7a-78dd-43bd-a1be-cfb989f8b34d</vt:lpwstr>
  </property>
  <property fmtid="{D5CDD505-2E9C-101B-9397-08002B2CF9AE}" pid="6" name="UndpDocTypeMM">
    <vt:lpwstr/>
  </property>
  <property fmtid="{D5CDD505-2E9C-101B-9397-08002B2CF9AE}" pid="7" name="UNDPDocumentCategory">
    <vt:lpwstr/>
  </property>
  <property fmtid="{D5CDD505-2E9C-101B-9397-08002B2CF9AE}" pid="8" name="UnitTaxHTField0">
    <vt:lpwstr/>
  </property>
  <property fmtid="{D5CDD505-2E9C-101B-9397-08002B2CF9AE}" pid="9" name="UN Languages">
    <vt:lpwstr>1;#English|7f98b732-4b5b-4b70-ba90-a0eff09b5d2d</vt:lpwstr>
  </property>
  <property fmtid="{D5CDD505-2E9C-101B-9397-08002B2CF9AE}" pid="10" name="Operating Unit0">
    <vt:lpwstr>1656;#SYR|fb0956bf-c7e3-4834-a4fa-71c482a03fda</vt:lpwstr>
  </property>
  <property fmtid="{D5CDD505-2E9C-101B-9397-08002B2CF9AE}" pid="11" name="Atlas Document Status">
    <vt:lpwstr>763;#Draft|121d40a5-e62e-4d42-82e4-d6d12003de0a</vt:lpwstr>
  </property>
  <property fmtid="{D5CDD505-2E9C-101B-9397-08002B2CF9AE}" pid="13" name="UndpUnitMM">
    <vt:lpwstr/>
  </property>
  <property fmtid="{D5CDD505-2E9C-101B-9397-08002B2CF9AE}" pid="14" name="eRegFilingCodeMM">
    <vt:lpwstr/>
  </property>
  <property fmtid="{D5CDD505-2E9C-101B-9397-08002B2CF9AE}" pid="15" name="Unit">
    <vt:lpwstr/>
  </property>
  <property fmtid="{D5CDD505-2E9C-101B-9397-08002B2CF9AE}" pid="16" name="UNDPFocusAreas">
    <vt:lpwstr/>
  </property>
  <property fmtid="{D5CDD505-2E9C-101B-9397-08002B2CF9AE}" pid="17" name="Atlas Document Type">
    <vt:lpwstr>1109;#Budget|1c1fa43a-cb36-4844-8715-9a4cc93e1ac9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